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Heat Calcs - 1st HE" sheetId="1" r:id="rId1"/>
    <sheet name="Flow and Heat Calcs - Precip 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  <c r="M65"/>
  <c r="J62"/>
  <c r="J63" s="1"/>
  <c r="K67" s="1"/>
  <c r="B60"/>
  <c r="E62" s="1"/>
  <c r="J58"/>
  <c r="B47"/>
  <c r="B48" s="1"/>
  <c r="E50" s="1"/>
  <c r="E46"/>
  <c r="N41"/>
  <c r="L42" s="1"/>
  <c r="K44" s="1"/>
  <c r="K45" s="1"/>
  <c r="C41"/>
  <c r="N40"/>
  <c r="B38"/>
  <c r="E40" s="1"/>
  <c r="K68" l="1"/>
  <c r="L70"/>
  <c r="K47"/>
  <c r="D27" i="2" l="1"/>
  <c r="D64" l="1"/>
  <c r="D69" s="1"/>
  <c r="D39" l="1"/>
  <c r="D44" s="1"/>
  <c r="F9"/>
  <c r="F10"/>
  <c r="F11"/>
  <c r="F8"/>
  <c r="F7"/>
  <c r="D8" l="1"/>
  <c r="E8" s="1"/>
  <c r="D9"/>
  <c r="E9" s="1"/>
  <c r="D10"/>
  <c r="E10" s="1"/>
  <c r="D11"/>
  <c r="E11" s="1"/>
  <c r="D7"/>
  <c r="D13"/>
  <c r="D21" i="1"/>
  <c r="I11" i="2"/>
  <c r="H11"/>
  <c r="I10"/>
  <c r="H10"/>
  <c r="I9"/>
  <c r="H9"/>
  <c r="I8"/>
  <c r="H8"/>
  <c r="I7"/>
  <c r="H7"/>
  <c r="E7" l="1"/>
  <c r="D50"/>
  <c r="D51" s="1"/>
  <c r="D56" s="1"/>
  <c r="A67" s="1"/>
  <c r="D70" s="1"/>
  <c r="D60" s="1"/>
  <c r="D59" s="1"/>
  <c r="D25"/>
  <c r="D26" s="1"/>
  <c r="D31" s="1"/>
  <c r="A42" s="1"/>
  <c r="D45" s="1"/>
  <c r="D35" s="1"/>
  <c r="D34" s="1"/>
  <c r="J8"/>
  <c r="K8" s="1"/>
  <c r="J10"/>
  <c r="L10" s="1"/>
  <c r="J7"/>
  <c r="L7" s="1"/>
  <c r="J9"/>
  <c r="K9" s="1"/>
  <c r="J11"/>
  <c r="K11" s="1"/>
  <c r="L8" l="1"/>
  <c r="L11"/>
  <c r="K7"/>
  <c r="K10"/>
  <c r="L9"/>
  <c r="D27" i="1"/>
  <c r="D7"/>
  <c r="A25" s="1"/>
  <c r="D28" l="1"/>
  <c r="D17" s="1"/>
  <c r="D16" s="1"/>
</calcChain>
</file>

<file path=xl/comments1.xml><?xml version="1.0" encoding="utf-8"?>
<comments xmlns="http://schemas.openxmlformats.org/spreadsheetml/2006/main">
  <authors>
    <author>flormirza.cabalteja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flormirza.cabalteja:</t>
        </r>
        <r>
          <rPr>
            <sz val="8"/>
            <color indexed="81"/>
            <rFont val="Tahoma"/>
            <family val="2"/>
          </rPr>
          <t xml:space="preserve">
assumption only, specific heat of water at 90ºC</t>
        </r>
      </text>
    </comment>
    <comment ref="E58" authorId="0">
      <text>
        <r>
          <rPr>
            <b/>
            <sz val="8"/>
            <color indexed="81"/>
            <rFont val="Tahoma"/>
          </rPr>
          <t>flormirza.cabalteja:</t>
        </r>
        <r>
          <rPr>
            <sz val="8"/>
            <color indexed="81"/>
            <rFont val="Tahoma"/>
          </rPr>
          <t xml:space="preserve">
previously 183.908</t>
        </r>
      </text>
    </comment>
  </commentList>
</comments>
</file>

<file path=xl/comments2.xml><?xml version="1.0" encoding="utf-8"?>
<comments xmlns="http://schemas.openxmlformats.org/spreadsheetml/2006/main">
  <authors>
    <author>Flormirza Cabalteja</author>
    <author>flormirza.cabalteja</author>
  </authors>
  <commentList>
    <comment ref="L4" authorId="0">
      <text>
        <r>
          <rPr>
            <b/>
            <sz val="8"/>
            <color indexed="81"/>
            <rFont val="Tahoma"/>
            <family val="2"/>
          </rPr>
          <t>Flormirza Cabalteja:</t>
        </r>
        <r>
          <rPr>
            <sz val="8"/>
            <color indexed="81"/>
            <rFont val="Tahoma"/>
            <family val="2"/>
          </rPr>
          <t xml:space="preserve">
density x velocity x D / dynamic viscosity
values calculated are similar to online Re calculator (http://www.efunda.com/formulae/fluids/calc_reynolds.cfm#calc)</t>
        </r>
      </text>
    </comment>
    <comment ref="D27" authorId="1">
      <text>
        <r>
          <rPr>
            <b/>
            <sz val="8"/>
            <color indexed="81"/>
            <rFont val="Tahoma"/>
            <family val="2"/>
          </rPr>
          <t>flormirza.cabalteja:</t>
        </r>
        <r>
          <rPr>
            <sz val="8"/>
            <color indexed="81"/>
            <rFont val="Tahoma"/>
            <family val="2"/>
          </rPr>
          <t xml:space="preserve">
Use Precip 1 density
</t>
        </r>
      </text>
    </comment>
    <comment ref="D28" authorId="1">
      <text>
        <r>
          <rPr>
            <b/>
            <sz val="8"/>
            <color indexed="81"/>
            <rFont val="Tahoma"/>
            <family val="2"/>
          </rPr>
          <t>flormirza.cabalteja:</t>
        </r>
        <r>
          <rPr>
            <sz val="8"/>
            <color indexed="81"/>
            <rFont val="Tahoma"/>
            <family val="2"/>
          </rPr>
          <t xml:space="preserve">
assumption only, specific heat of water at 90ºC</t>
        </r>
      </text>
    </comment>
    <comment ref="D52" authorId="1">
      <text>
        <r>
          <rPr>
            <b/>
            <sz val="8"/>
            <color indexed="81"/>
            <rFont val="Tahoma"/>
            <family val="2"/>
          </rPr>
          <t>flormirza.cabalteja:</t>
        </r>
        <r>
          <rPr>
            <sz val="8"/>
            <color indexed="81"/>
            <rFont val="Tahoma"/>
            <family val="2"/>
          </rPr>
          <t xml:space="preserve">
Use Precip 2 density</t>
        </r>
      </text>
    </comment>
    <comment ref="D53" authorId="1">
      <text>
        <r>
          <rPr>
            <b/>
            <sz val="8"/>
            <color indexed="81"/>
            <rFont val="Tahoma"/>
            <family val="2"/>
          </rPr>
          <t>flormirza.cabalteja:</t>
        </r>
        <r>
          <rPr>
            <sz val="8"/>
            <color indexed="81"/>
            <rFont val="Tahoma"/>
            <family val="2"/>
          </rPr>
          <t xml:space="preserve">
assumption only, specific heat of water at 90ºC</t>
        </r>
      </text>
    </comment>
  </commentList>
</comments>
</file>

<file path=xl/sharedStrings.xml><?xml version="1.0" encoding="utf-8"?>
<sst xmlns="http://schemas.openxmlformats.org/spreadsheetml/2006/main" count="253" uniqueCount="122">
  <si>
    <t>Heat Input</t>
  </si>
  <si>
    <t>m3/hr</t>
  </si>
  <si>
    <t>Specific heat of clear preg</t>
  </si>
  <si>
    <t>T 1</t>
  </si>
  <si>
    <t>T 2</t>
  </si>
  <si>
    <t>ºC</t>
  </si>
  <si>
    <t>Clear Preg density</t>
  </si>
  <si>
    <t>Clear Preg mass flow rate</t>
  </si>
  <si>
    <t>kg/m3</t>
  </si>
  <si>
    <t>Cooling Source</t>
  </si>
  <si>
    <t>Cooling water flow rate</t>
  </si>
  <si>
    <t>Cooling water density</t>
  </si>
  <si>
    <t>Specific heat of CW</t>
  </si>
  <si>
    <t>T1</t>
  </si>
  <si>
    <t>T2</t>
  </si>
  <si>
    <t>ambient temperature</t>
  </si>
  <si>
    <t>kg/s</t>
  </si>
  <si>
    <t>kW</t>
  </si>
  <si>
    <t>Heat input = Cooling source</t>
  </si>
  <si>
    <t>=</t>
  </si>
  <si>
    <t>Cooling Source kW</t>
  </si>
  <si>
    <t>Manual Input</t>
  </si>
  <si>
    <t>Calculated Output</t>
  </si>
  <si>
    <t>temperature in</t>
  </si>
  <si>
    <t>required temp out</t>
  </si>
  <si>
    <t>Cp</t>
  </si>
  <si>
    <t>kg/ s * Cp * (delta T)</t>
  </si>
  <si>
    <t>Temperature In</t>
  </si>
  <si>
    <t>Temperature Out</t>
  </si>
  <si>
    <t>Cooling Water mass flow rate</t>
  </si>
  <si>
    <t>Heat removal requirement</t>
  </si>
  <si>
    <t>Minimum</t>
  </si>
  <si>
    <t>Nominal</t>
  </si>
  <si>
    <t>Maximum</t>
  </si>
  <si>
    <t>Re</t>
  </si>
  <si>
    <t>Diameter</t>
  </si>
  <si>
    <t>A</t>
  </si>
  <si>
    <t>Q</t>
  </si>
  <si>
    <t>Temperature</t>
  </si>
  <si>
    <t>Dynamic Viscosity</t>
  </si>
  <si>
    <t>Kinematic Viscosity</t>
  </si>
  <si>
    <t>Test</t>
  </si>
  <si>
    <t xml:space="preserve"> (m)</t>
  </si>
  <si>
    <t>mm</t>
  </si>
  <si>
    <t>m2</t>
  </si>
  <si>
    <t>m3/s</t>
  </si>
  <si>
    <t>m/s</t>
  </si>
  <si>
    <t>s</t>
  </si>
  <si>
    <t>- t -</t>
  </si>
  <si>
    <t>- µ -</t>
  </si>
  <si>
    <t>- ν -</t>
  </si>
  <si>
    <r>
      <t>(</t>
    </r>
    <r>
      <rPr>
        <i/>
        <vertAlign val="superscript"/>
        <sz val="11"/>
        <color theme="1"/>
        <rFont val="Arial"/>
        <family val="2"/>
      </rPr>
      <t>o</t>
    </r>
    <r>
      <rPr>
        <i/>
        <sz val="11"/>
        <color theme="1"/>
        <rFont val="Arial"/>
        <family val="2"/>
      </rPr>
      <t>C)</t>
    </r>
  </si>
  <si>
    <r>
      <t>(N s/m</t>
    </r>
    <r>
      <rPr>
        <i/>
        <vertAlign val="superscript"/>
        <sz val="11"/>
        <color theme="1"/>
        <rFont val="Arial"/>
        <family val="2"/>
      </rPr>
      <t>2</t>
    </r>
    <r>
      <rPr>
        <i/>
        <sz val="11"/>
        <color theme="1"/>
        <rFont val="Arial"/>
        <family val="2"/>
      </rPr>
      <t>) x 10</t>
    </r>
    <r>
      <rPr>
        <i/>
        <vertAlign val="superscript"/>
        <sz val="11"/>
        <color theme="1"/>
        <rFont val="Arial"/>
        <family val="2"/>
      </rPr>
      <t>-3</t>
    </r>
    <r>
      <rPr>
        <i/>
        <sz val="11"/>
        <color theme="1"/>
        <rFont val="Arial"/>
        <family val="2"/>
      </rPr>
      <t xml:space="preserve"> </t>
    </r>
  </si>
  <si>
    <r>
      <t>(m</t>
    </r>
    <r>
      <rPr>
        <i/>
        <vertAlign val="superscript"/>
        <sz val="11"/>
        <color theme="1"/>
        <rFont val="Arial"/>
        <family val="2"/>
      </rPr>
      <t>2</t>
    </r>
    <r>
      <rPr>
        <i/>
        <sz val="11"/>
        <color theme="1"/>
        <rFont val="Arial"/>
        <family val="2"/>
      </rPr>
      <t>/s) x 10</t>
    </r>
    <r>
      <rPr>
        <i/>
        <vertAlign val="superscript"/>
        <sz val="11"/>
        <color theme="1"/>
        <rFont val="Arial"/>
        <family val="2"/>
      </rPr>
      <t>-6</t>
    </r>
  </si>
  <si>
    <t>L/min</t>
  </si>
  <si>
    <t>&gt;60s</t>
  </si>
  <si>
    <t>&gt; 4000</t>
  </si>
  <si>
    <r>
      <t>1 N s/m</t>
    </r>
    <r>
      <rPr>
        <i/>
        <vertAlign val="superscript"/>
        <sz val="9.9"/>
        <color theme="1"/>
        <rFont val="Arial"/>
        <family val="2"/>
      </rPr>
      <t>2</t>
    </r>
    <r>
      <rPr>
        <i/>
        <sz val="9.9"/>
        <color theme="1"/>
        <rFont val="Arial"/>
        <family val="2"/>
      </rPr>
      <t xml:space="preserve"> = 1 Pa s = 10 poise = 1,000 milliPa s</t>
    </r>
  </si>
  <si>
    <r>
      <t>1 m</t>
    </r>
    <r>
      <rPr>
        <i/>
        <vertAlign val="superscript"/>
        <sz val="9.9"/>
        <color theme="1"/>
        <rFont val="Arial"/>
        <family val="2"/>
      </rPr>
      <t>2</t>
    </r>
    <r>
      <rPr>
        <i/>
        <sz val="9.9"/>
        <color theme="1"/>
        <rFont val="Arial"/>
        <family val="2"/>
      </rPr>
      <t>/s = 1 x 10</t>
    </r>
    <r>
      <rPr>
        <i/>
        <vertAlign val="superscript"/>
        <sz val="9.9"/>
        <color theme="1"/>
        <rFont val="Arial"/>
        <family val="2"/>
      </rPr>
      <t>4</t>
    </r>
    <r>
      <rPr>
        <i/>
        <sz val="9.9"/>
        <color theme="1"/>
        <rFont val="Arial"/>
        <family val="2"/>
      </rPr>
      <t xml:space="preserve"> cm</t>
    </r>
    <r>
      <rPr>
        <i/>
        <vertAlign val="superscript"/>
        <sz val="9.9"/>
        <color theme="1"/>
        <rFont val="Arial"/>
        <family val="2"/>
      </rPr>
      <t>2</t>
    </r>
    <r>
      <rPr>
        <i/>
        <sz val="9.9"/>
        <color theme="1"/>
        <rFont val="Arial"/>
        <family val="2"/>
      </rPr>
      <t>/s =1 x 10</t>
    </r>
    <r>
      <rPr>
        <i/>
        <vertAlign val="superscript"/>
        <sz val="9.9"/>
        <color theme="1"/>
        <rFont val="Arial"/>
        <family val="2"/>
      </rPr>
      <t>4</t>
    </r>
    <r>
      <rPr>
        <i/>
        <sz val="9.9"/>
        <color theme="1"/>
        <rFont val="Arial"/>
        <family val="2"/>
      </rPr>
      <t xml:space="preserve"> stokes = 1 x 10</t>
    </r>
    <r>
      <rPr>
        <i/>
        <vertAlign val="superscript"/>
        <sz val="9.9"/>
        <color theme="1"/>
        <rFont val="Arial"/>
        <family val="2"/>
      </rPr>
      <t>6</t>
    </r>
    <r>
      <rPr>
        <i/>
        <sz val="9.9"/>
        <color theme="1"/>
        <rFont val="Arial"/>
        <family val="2"/>
      </rPr>
      <t xml:space="preserve"> centistokes </t>
    </r>
  </si>
  <si>
    <t>Recycle length</t>
  </si>
  <si>
    <t>* Assumption is 100% efficiency, which is not true</t>
  </si>
  <si>
    <t>Precipitation Tank Volume</t>
  </si>
  <si>
    <t>D</t>
  </si>
  <si>
    <t>m</t>
  </si>
  <si>
    <t>Working H</t>
  </si>
  <si>
    <t>m3</t>
  </si>
  <si>
    <t>Recycle Flow</t>
  </si>
  <si>
    <t>Retention time of recycle in line</t>
  </si>
  <si>
    <t>Velocity of Recycle Flow</t>
  </si>
  <si>
    <t>hr</t>
  </si>
  <si>
    <t>(based on inv calcs)</t>
  </si>
  <si>
    <t>~1.5-2m/s</t>
  </si>
  <si>
    <t xml:space="preserve">Recirculating Load </t>
  </si>
  <si>
    <t>% of Tank Volume</t>
  </si>
  <si>
    <t>Residence Time in Tank</t>
  </si>
  <si>
    <t>Clear Preg Flow Rate</t>
  </si>
  <si>
    <t>Precip Tank 1 Heat Removal Requirement</t>
  </si>
  <si>
    <t>Recycle Flow Rate</t>
  </si>
  <si>
    <t>Recycle Flow Density</t>
  </si>
  <si>
    <t>Specific Heat of Recycle Flow</t>
  </si>
  <si>
    <t>Linked Value</t>
  </si>
  <si>
    <t>Precip Tank 2 Heat Removal Requirement</t>
  </si>
  <si>
    <t>(mass)*(specific heat)(delta T)</t>
  </si>
  <si>
    <t>kJ/kg K</t>
  </si>
  <si>
    <t>Amsul solution Cp</t>
  </si>
  <si>
    <t>Amsul</t>
  </si>
  <si>
    <t>Amsul solution estimate</t>
  </si>
  <si>
    <t>°C</t>
  </si>
  <si>
    <t>K</t>
  </si>
  <si>
    <t>Amsul solid added</t>
  </si>
  <si>
    <t>kg</t>
  </si>
  <si>
    <t>cp Amsul</t>
  </si>
  <si>
    <t>a</t>
  </si>
  <si>
    <t>J/molK</t>
  </si>
  <si>
    <t>Volume of ater added to mixing tank</t>
  </si>
  <si>
    <t>b</t>
  </si>
  <si>
    <t>Density of raw water</t>
  </si>
  <si>
    <t>g/cm3</t>
  </si>
  <si>
    <t>c</t>
  </si>
  <si>
    <t>Mass of raw water in mixing tank</t>
  </si>
  <si>
    <t>d</t>
  </si>
  <si>
    <t>Mass fraction Amsul</t>
  </si>
  <si>
    <t>Mass fraction raw water</t>
  </si>
  <si>
    <t>Water</t>
  </si>
  <si>
    <t>MW</t>
  </si>
  <si>
    <t>Cp Amsul solution estimate</t>
  </si>
  <si>
    <t>cp Water</t>
  </si>
  <si>
    <t>Sodium vanadate solution estimate</t>
  </si>
  <si>
    <t>Vanadate solution Cp</t>
  </si>
  <si>
    <t>Clear Preg</t>
  </si>
  <si>
    <t>g/L (V)</t>
  </si>
  <si>
    <t>Sodium vanadate</t>
  </si>
  <si>
    <t>mol/L (V)</t>
  </si>
  <si>
    <t>Assuming all V from vanadate</t>
  </si>
  <si>
    <t>mol vanadate</t>
  </si>
  <si>
    <t>mol/L</t>
  </si>
  <si>
    <t>mass vanadate</t>
  </si>
  <si>
    <t>g/L</t>
  </si>
  <si>
    <t>Density of Barren solution</t>
  </si>
  <si>
    <t>Mass fraction vanadate</t>
  </si>
  <si>
    <t>Mass fraction Barren</t>
  </si>
  <si>
    <t>Cp Vanadate solution estimate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</si>
</sst>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vertAlign val="superscript"/>
      <sz val="11"/>
      <color theme="1"/>
      <name val="Arial"/>
      <family val="2"/>
    </font>
    <font>
      <sz val="9"/>
      <color theme="1"/>
      <name val="Calibri"/>
      <family val="2"/>
      <scheme val="minor"/>
    </font>
    <font>
      <i/>
      <sz val="9.9"/>
      <color theme="1"/>
      <name val="Arial"/>
      <family val="2"/>
    </font>
    <font>
      <i/>
      <vertAlign val="superscript"/>
      <sz val="9.9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8"/>
      <color indexed="81"/>
      <name val="Tahoma"/>
    </font>
    <font>
      <sz val="8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C0C0C0"/>
      </left>
      <right style="medium">
        <color rgb="FFCCCCCC"/>
      </right>
      <top style="thick">
        <color rgb="FFC0C0C0"/>
      </top>
      <bottom/>
      <diagonal/>
    </border>
    <border>
      <left style="medium">
        <color rgb="FFCCCCCC"/>
      </left>
      <right style="medium">
        <color rgb="FFCCCCCC"/>
      </right>
      <top style="thick">
        <color rgb="FFC0C0C0"/>
      </top>
      <bottom/>
      <diagonal/>
    </border>
    <border>
      <left style="medium">
        <color rgb="FFCCCCCC"/>
      </left>
      <right style="thick">
        <color rgb="FFC0C0C0"/>
      </right>
      <top style="thick">
        <color rgb="FFC0C0C0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rgb="FFC0C0C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thick">
        <color rgb="FFC0C0C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C0C0C0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ck">
        <color rgb="FFC0C0C0"/>
      </right>
      <top/>
      <bottom style="medium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C0C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0C0C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C0C0C0"/>
      </left>
      <right style="medium">
        <color rgb="FFCCCCCC"/>
      </right>
      <top style="medium">
        <color rgb="FFCCCCCC"/>
      </top>
      <bottom style="thick">
        <color rgb="FFC0C0C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0C0C0"/>
      </bottom>
      <diagonal/>
    </border>
    <border>
      <left style="medium">
        <color rgb="FFCCCCCC"/>
      </left>
      <right style="thick">
        <color rgb="FFC0C0C0"/>
      </right>
      <top style="medium">
        <color rgb="FFCCCCCC"/>
      </top>
      <bottom style="thick">
        <color rgb="FFC0C0C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quotePrefix="1"/>
    <xf numFmtId="0" fontId="0" fillId="2" borderId="0" xfId="0" applyFill="1"/>
    <xf numFmtId="0" fontId="0" fillId="3" borderId="0" xfId="0" applyFill="1"/>
    <xf numFmtId="165" fontId="0" fillId="0" borderId="0" xfId="0" applyNumberFormat="1"/>
    <xf numFmtId="165" fontId="0" fillId="3" borderId="0" xfId="0" applyNumberFormat="1" applyFill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7" xfId="0" applyFont="1" applyBorder="1" applyAlignment="1">
      <alignment horizontal="center" wrapText="1"/>
    </xf>
    <xf numFmtId="0" fontId="4" fillId="0" borderId="8" xfId="1" applyBorder="1" applyAlignment="1" applyProtection="1">
      <alignment horizontal="center" wrapText="1"/>
    </xf>
    <xf numFmtId="0" fontId="4" fillId="0" borderId="9" xfId="1" applyBorder="1" applyAlignment="1" applyProtection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2" fontId="8" fillId="0" borderId="18" xfId="0" applyNumberFormat="1" applyFont="1" applyBorder="1"/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0" fillId="0" borderId="0" xfId="0" applyFont="1"/>
    <xf numFmtId="0" fontId="7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2" fontId="8" fillId="0" borderId="2" xfId="0" applyNumberFormat="1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166" fontId="7" fillId="0" borderId="27" xfId="0" applyNumberFormat="1" applyFont="1" applyFill="1" applyBorder="1" applyAlignment="1">
      <alignment horizontal="center"/>
    </xf>
    <xf numFmtId="0" fontId="8" fillId="0" borderId="27" xfId="0" applyFont="1" applyBorder="1"/>
    <xf numFmtId="164" fontId="8" fillId="0" borderId="27" xfId="0" applyNumberFormat="1" applyFont="1" applyBorder="1"/>
    <xf numFmtId="2" fontId="8" fillId="0" borderId="28" xfId="0" applyNumberFormat="1" applyFont="1" applyBorder="1"/>
    <xf numFmtId="2" fontId="8" fillId="0" borderId="22" xfId="0" applyNumberFormat="1" applyFont="1" applyBorder="1"/>
    <xf numFmtId="0" fontId="5" fillId="0" borderId="19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center" wrapText="1"/>
    </xf>
    <xf numFmtId="2" fontId="8" fillId="0" borderId="29" xfId="0" applyNumberFormat="1" applyFont="1" applyBorder="1"/>
    <xf numFmtId="2" fontId="8" fillId="0" borderId="30" xfId="0" applyNumberFormat="1" applyFont="1" applyBorder="1"/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11" fillId="0" borderId="0" xfId="0" applyFont="1" applyAlignment="1">
      <alignment horizontal="left" indent="15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166" fontId="7" fillId="0" borderId="35" xfId="0" applyNumberFormat="1" applyFont="1" applyFill="1" applyBorder="1" applyAlignment="1">
      <alignment horizontal="center"/>
    </xf>
    <xf numFmtId="164" fontId="8" fillId="0" borderId="35" xfId="0" applyNumberFormat="1" applyFont="1" applyBorder="1"/>
    <xf numFmtId="0" fontId="7" fillId="0" borderId="25" xfId="0" applyFont="1" applyFill="1" applyBorder="1" applyAlignment="1">
      <alignment horizontal="center"/>
    </xf>
    <xf numFmtId="164" fontId="8" fillId="0" borderId="1" xfId="0" applyNumberFormat="1" applyFont="1" applyFill="1" applyBorder="1"/>
    <xf numFmtId="2" fontId="8" fillId="0" borderId="2" xfId="0" applyNumberFormat="1" applyFont="1" applyFill="1" applyBorder="1"/>
    <xf numFmtId="2" fontId="8" fillId="0" borderId="18" xfId="0" applyNumberFormat="1" applyFont="1" applyFill="1" applyBorder="1"/>
    <xf numFmtId="0" fontId="0" fillId="0" borderId="0" xfId="0" applyFill="1" applyBorder="1"/>
    <xf numFmtId="0" fontId="13" fillId="0" borderId="23" xfId="0" applyFont="1" applyFill="1" applyBorder="1" applyAlignment="1">
      <alignment horizontal="center" wrapText="1"/>
    </xf>
    <xf numFmtId="0" fontId="13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1" fontId="15" fillId="0" borderId="27" xfId="0" applyNumberFormat="1" applyFont="1" applyFill="1" applyBorder="1" applyAlignment="1">
      <alignment horizontal="center"/>
    </xf>
    <xf numFmtId="1" fontId="15" fillId="0" borderId="22" xfId="0" applyNumberFormat="1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 wrapText="1"/>
    </xf>
    <xf numFmtId="0" fontId="0" fillId="0" borderId="0" xfId="0" applyFont="1"/>
    <xf numFmtId="165" fontId="7" fillId="0" borderId="35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40" xfId="0" applyFont="1" applyFill="1" applyBorder="1" applyAlignment="1">
      <alignment horizontal="center"/>
    </xf>
    <xf numFmtId="165" fontId="7" fillId="0" borderId="40" xfId="0" applyNumberFormat="1" applyFont="1" applyFill="1" applyBorder="1" applyAlignment="1">
      <alignment horizontal="center"/>
    </xf>
    <xf numFmtId="0" fontId="0" fillId="4" borderId="0" xfId="0" applyFill="1"/>
    <xf numFmtId="0" fontId="1" fillId="0" borderId="42" xfId="0" applyFont="1" applyBorder="1"/>
    <xf numFmtId="0" fontId="0" fillId="0" borderId="5" xfId="0" applyBorder="1"/>
    <xf numFmtId="165" fontId="0" fillId="0" borderId="43" xfId="0" applyNumberFormat="1" applyBorder="1"/>
    <xf numFmtId="0" fontId="0" fillId="0" borderId="6" xfId="0" applyBorder="1"/>
    <xf numFmtId="0" fontId="0" fillId="0" borderId="0" xfId="0" applyBorder="1"/>
    <xf numFmtId="0" fontId="0" fillId="0" borderId="44" xfId="0" applyBorder="1"/>
    <xf numFmtId="0" fontId="1" fillId="0" borderId="6" xfId="0" applyFont="1" applyBorder="1"/>
    <xf numFmtId="0" fontId="0" fillId="4" borderId="0" xfId="0" applyFill="1" applyBorder="1"/>
    <xf numFmtId="2" fontId="0" fillId="0" borderId="0" xfId="0" applyNumberFormat="1" applyBorder="1"/>
    <xf numFmtId="0" fontId="0" fillId="2" borderId="0" xfId="0" applyFill="1" applyBorder="1"/>
    <xf numFmtId="165" fontId="0" fillId="0" borderId="0" xfId="0" applyNumberFormat="1" applyBorder="1"/>
    <xf numFmtId="165" fontId="0" fillId="3" borderId="0" xfId="0" applyNumberFormat="1" applyFill="1" applyBorder="1"/>
    <xf numFmtId="0" fontId="0" fillId="0" borderId="0" xfId="0" quotePrefix="1" applyBorder="1"/>
    <xf numFmtId="0" fontId="0" fillId="0" borderId="45" xfId="0" applyBorder="1"/>
    <xf numFmtId="0" fontId="0" fillId="0" borderId="10" xfId="0" applyBorder="1"/>
    <xf numFmtId="0" fontId="0" fillId="0" borderId="10" xfId="0" quotePrefix="1" applyBorder="1"/>
    <xf numFmtId="2" fontId="0" fillId="0" borderId="10" xfId="0" applyNumberFormat="1" applyBorder="1"/>
    <xf numFmtId="0" fontId="0" fillId="0" borderId="46" xfId="0" applyBorder="1"/>
    <xf numFmtId="2" fontId="0" fillId="2" borderId="0" xfId="0" applyNumberFormat="1" applyFill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40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 wrapText="1"/>
    </xf>
    <xf numFmtId="0" fontId="14" fillId="0" borderId="41" xfId="0" applyFont="1" applyFill="1" applyBorder="1" applyAlignment="1">
      <alignment horizontal="center" wrapText="1"/>
    </xf>
    <xf numFmtId="0" fontId="13" fillId="0" borderId="39" xfId="0" applyFont="1" applyFill="1" applyBorder="1" applyAlignment="1">
      <alignment horizontal="center" wrapText="1"/>
    </xf>
    <xf numFmtId="0" fontId="13" fillId="0" borderId="40" xfId="0" applyFont="1" applyFill="1" applyBorder="1" applyAlignment="1">
      <alignment horizontal="center" wrapText="1"/>
    </xf>
    <xf numFmtId="0" fontId="16" fillId="0" borderId="0" xfId="0" applyFont="1" applyFill="1"/>
    <xf numFmtId="0" fontId="17" fillId="0" borderId="0" xfId="0" applyFont="1"/>
    <xf numFmtId="0" fontId="18" fillId="0" borderId="0" xfId="0" applyFont="1"/>
    <xf numFmtId="9" fontId="0" fillId="0" borderId="0" xfId="0" applyNumberFormat="1" applyFill="1"/>
    <xf numFmtId="0" fontId="19" fillId="0" borderId="0" xfId="0" applyFont="1"/>
    <xf numFmtId="1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ineeringtoolbox.com/dynamic-absolute-kinematic-viscosity-d_412.html" TargetMode="External"/><Relationship Id="rId1" Type="http://schemas.openxmlformats.org/officeDocument/2006/relationships/hyperlink" Target="http://www.engineeringtoolbox.com/dynamic-absolute-kinematic-viscosity-d_412.html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D12" sqref="D12"/>
    </sheetView>
  </sheetViews>
  <sheetFormatPr defaultRowHeight="15"/>
  <cols>
    <col min="13" max="13" width="10.28515625" customWidth="1"/>
    <col min="14" max="14" width="11" customWidth="1"/>
    <col min="15" max="15" width="10.5703125" customWidth="1"/>
  </cols>
  <sheetData>
    <row r="1" spans="1:15">
      <c r="A1" s="4"/>
      <c r="B1" t="s">
        <v>21</v>
      </c>
    </row>
    <row r="2" spans="1:15">
      <c r="A2" s="5"/>
      <c r="B2" t="s">
        <v>22</v>
      </c>
    </row>
    <row r="4" spans="1:15">
      <c r="A4" s="1" t="s">
        <v>0</v>
      </c>
    </row>
    <row r="5" spans="1:15">
      <c r="I5" s="104"/>
      <c r="J5" s="105"/>
      <c r="K5" s="105"/>
      <c r="L5" s="106"/>
      <c r="M5" s="9" t="s">
        <v>31</v>
      </c>
      <c r="N5" s="9" t="s">
        <v>32</v>
      </c>
      <c r="O5" s="9" t="s">
        <v>33</v>
      </c>
    </row>
    <row r="6" spans="1:15">
      <c r="A6" t="s">
        <v>7</v>
      </c>
      <c r="D6" s="4">
        <v>15</v>
      </c>
      <c r="E6" t="s">
        <v>1</v>
      </c>
      <c r="I6" s="101" t="s">
        <v>7</v>
      </c>
      <c r="J6" s="102"/>
      <c r="K6" s="103"/>
      <c r="L6" s="8" t="s">
        <v>1</v>
      </c>
      <c r="M6" s="10">
        <v>10</v>
      </c>
      <c r="N6" s="10">
        <v>12.5</v>
      </c>
      <c r="O6" s="10">
        <v>15</v>
      </c>
    </row>
    <row r="7" spans="1:15">
      <c r="D7" s="2">
        <f>+D6/60*D8/60</f>
        <v>4.375</v>
      </c>
      <c r="E7" t="s">
        <v>16</v>
      </c>
      <c r="I7" s="101" t="s">
        <v>27</v>
      </c>
      <c r="J7" s="102"/>
      <c r="K7" s="103"/>
      <c r="L7" s="8" t="s">
        <v>5</v>
      </c>
      <c r="M7" s="10">
        <v>80</v>
      </c>
      <c r="N7" s="10">
        <v>80</v>
      </c>
      <c r="O7" s="10">
        <v>80</v>
      </c>
    </row>
    <row r="8" spans="1:15">
      <c r="A8" t="s">
        <v>6</v>
      </c>
      <c r="D8" s="4">
        <v>1050</v>
      </c>
      <c r="E8" t="s">
        <v>8</v>
      </c>
      <c r="I8" s="101" t="s">
        <v>28</v>
      </c>
      <c r="J8" s="102"/>
      <c r="K8" s="103"/>
      <c r="L8" s="8" t="s">
        <v>5</v>
      </c>
      <c r="M8" s="10">
        <v>50</v>
      </c>
      <c r="N8" s="10">
        <v>50</v>
      </c>
      <c r="O8" s="10">
        <v>45</v>
      </c>
    </row>
    <row r="9" spans="1:15">
      <c r="A9" t="s">
        <v>2</v>
      </c>
      <c r="D9" s="100">
        <v>4.1980000000000004</v>
      </c>
      <c r="E9" t="s">
        <v>83</v>
      </c>
      <c r="I9" s="104"/>
      <c r="J9" s="105"/>
      <c r="K9" s="105"/>
      <c r="L9" s="105"/>
      <c r="M9" s="105"/>
      <c r="N9" s="105"/>
      <c r="O9" s="106"/>
    </row>
    <row r="10" spans="1:15">
      <c r="A10" t="s">
        <v>3</v>
      </c>
      <c r="D10" s="4">
        <v>80</v>
      </c>
      <c r="E10" t="s">
        <v>5</v>
      </c>
      <c r="F10" t="s">
        <v>23</v>
      </c>
      <c r="I10" s="101" t="s">
        <v>29</v>
      </c>
      <c r="J10" s="102"/>
      <c r="K10" s="103"/>
      <c r="L10" s="8" t="s">
        <v>1</v>
      </c>
      <c r="M10" s="10">
        <v>11</v>
      </c>
      <c r="N10" s="10">
        <v>27.6</v>
      </c>
      <c r="O10" s="10">
        <v>58</v>
      </c>
    </row>
    <row r="11" spans="1:15">
      <c r="A11" t="s">
        <v>4</v>
      </c>
      <c r="D11" s="4">
        <v>45</v>
      </c>
      <c r="E11" t="s">
        <v>5</v>
      </c>
      <c r="F11" t="s">
        <v>24</v>
      </c>
      <c r="I11" s="101" t="s">
        <v>27</v>
      </c>
      <c r="J11" s="102"/>
      <c r="K11" s="103"/>
      <c r="L11" s="8" t="s">
        <v>5</v>
      </c>
      <c r="M11" s="10">
        <v>20</v>
      </c>
      <c r="N11" s="10">
        <v>35</v>
      </c>
      <c r="O11" s="10">
        <v>35</v>
      </c>
    </row>
    <row r="12" spans="1:15">
      <c r="D12" s="6">
        <f>((D7*K68*E50/E46)+(D7*K67*E62/E58))*(D10-D11)</f>
        <v>598.44481944622987</v>
      </c>
      <c r="E12" t="s">
        <v>17</v>
      </c>
      <c r="I12" s="101" t="s">
        <v>28</v>
      </c>
      <c r="J12" s="102"/>
      <c r="K12" s="103"/>
      <c r="L12" s="8" t="s">
        <v>5</v>
      </c>
      <c r="M12" s="10">
        <v>50</v>
      </c>
      <c r="N12" s="10">
        <v>50</v>
      </c>
      <c r="O12" s="10">
        <v>45</v>
      </c>
    </row>
    <row r="13" spans="1:15">
      <c r="I13" s="104"/>
      <c r="J13" s="105"/>
      <c r="K13" s="105"/>
      <c r="L13" s="105"/>
      <c r="M13" s="105"/>
      <c r="N13" s="105"/>
      <c r="O13" s="106"/>
    </row>
    <row r="14" spans="1:15">
      <c r="A14" s="1" t="s">
        <v>9</v>
      </c>
      <c r="I14" s="11" t="s">
        <v>30</v>
      </c>
      <c r="J14" s="12"/>
      <c r="K14" s="13"/>
      <c r="L14" s="8" t="s">
        <v>17</v>
      </c>
      <c r="M14" s="10">
        <v>385</v>
      </c>
      <c r="N14" s="10">
        <v>481</v>
      </c>
      <c r="O14" s="10">
        <v>673</v>
      </c>
    </row>
    <row r="16" spans="1:15">
      <c r="A16" t="s">
        <v>10</v>
      </c>
      <c r="D16" s="7">
        <f>+D17/D18*60*60</f>
        <v>51.540702153263815</v>
      </c>
      <c r="E16" t="s">
        <v>1</v>
      </c>
    </row>
    <row r="17" spans="1:6">
      <c r="D17" s="2">
        <f>+D28</f>
        <v>14.31686170923995</v>
      </c>
      <c r="E17" t="s">
        <v>16</v>
      </c>
    </row>
    <row r="18" spans="1:6">
      <c r="A18" t="s">
        <v>11</v>
      </c>
      <c r="D18">
        <v>1000</v>
      </c>
      <c r="E18" t="s">
        <v>8</v>
      </c>
    </row>
    <row r="19" spans="1:6">
      <c r="A19" t="s">
        <v>12</v>
      </c>
      <c r="D19">
        <v>4.18</v>
      </c>
      <c r="E19" t="s">
        <v>83</v>
      </c>
    </row>
    <row r="20" spans="1:6">
      <c r="A20" t="s">
        <v>13</v>
      </c>
      <c r="D20" s="4">
        <v>35</v>
      </c>
      <c r="E20" t="s">
        <v>5</v>
      </c>
      <c r="F20" t="s">
        <v>15</v>
      </c>
    </row>
    <row r="21" spans="1:6">
      <c r="A21" t="s">
        <v>14</v>
      </c>
      <c r="D21">
        <f>+D11</f>
        <v>45</v>
      </c>
      <c r="E21" t="s">
        <v>5</v>
      </c>
    </row>
    <row r="24" spans="1:6">
      <c r="A24" s="1" t="s">
        <v>18</v>
      </c>
      <c r="D24" s="3" t="s">
        <v>82</v>
      </c>
    </row>
    <row r="25" spans="1:6">
      <c r="A25">
        <f>+D12</f>
        <v>598.44481944622987</v>
      </c>
      <c r="B25" t="s">
        <v>17</v>
      </c>
      <c r="C25" s="3" t="s">
        <v>19</v>
      </c>
      <c r="D25" t="s">
        <v>20</v>
      </c>
    </row>
    <row r="26" spans="1:6">
      <c r="C26" s="3" t="s">
        <v>19</v>
      </c>
      <c r="D26" t="s">
        <v>26</v>
      </c>
    </row>
    <row r="27" spans="1:6">
      <c r="C27" s="3" t="s">
        <v>19</v>
      </c>
      <c r="D27">
        <f>+D19*(D21-D20)</f>
        <v>41.8</v>
      </c>
      <c r="E27" t="s">
        <v>16</v>
      </c>
    </row>
    <row r="28" spans="1:6">
      <c r="C28" s="3" t="s">
        <v>19</v>
      </c>
      <c r="D28" s="2">
        <f>+A25/D27</f>
        <v>14.31686170923995</v>
      </c>
      <c r="E28" t="s">
        <v>16</v>
      </c>
    </row>
    <row r="30" spans="1:6">
      <c r="A30" t="s">
        <v>60</v>
      </c>
    </row>
    <row r="35" spans="1:14">
      <c r="A35" s="118" t="s">
        <v>84</v>
      </c>
    </row>
    <row r="36" spans="1:14">
      <c r="A36" s="119" t="s">
        <v>85</v>
      </c>
      <c r="H36" s="1" t="s">
        <v>86</v>
      </c>
    </row>
    <row r="37" spans="1:14">
      <c r="A37" t="s">
        <v>38</v>
      </c>
      <c r="B37" s="4">
        <v>25</v>
      </c>
      <c r="C37" s="120" t="s">
        <v>87</v>
      </c>
    </row>
    <row r="38" spans="1:14">
      <c r="B38">
        <f>B37+273</f>
        <v>298</v>
      </c>
      <c r="C38" t="s">
        <v>88</v>
      </c>
      <c r="H38" t="s">
        <v>89</v>
      </c>
      <c r="J38" s="4">
        <v>1000</v>
      </c>
      <c r="K38" t="s">
        <v>90</v>
      </c>
    </row>
    <row r="40" spans="1:14">
      <c r="A40" t="s">
        <v>91</v>
      </c>
      <c r="B40" t="s">
        <v>92</v>
      </c>
      <c r="C40">
        <v>103.554</v>
      </c>
      <c r="D40" t="s">
        <v>19</v>
      </c>
      <c r="E40">
        <f>C40+C41*B38+C42*(B38^-2)+C43*(B38^2)</f>
        <v>187.216308</v>
      </c>
      <c r="F40" t="s">
        <v>93</v>
      </c>
      <c r="H40" t="s">
        <v>94</v>
      </c>
      <c r="L40" s="4">
        <v>10</v>
      </c>
      <c r="M40" t="s">
        <v>65</v>
      </c>
      <c r="N40">
        <f>L40*1000</f>
        <v>10000</v>
      </c>
    </row>
    <row r="41" spans="1:14">
      <c r="B41" t="s">
        <v>95</v>
      </c>
      <c r="C41">
        <f>0.280746</f>
        <v>0.280746</v>
      </c>
      <c r="H41" t="s">
        <v>96</v>
      </c>
      <c r="L41">
        <v>1</v>
      </c>
      <c r="M41" t="s">
        <v>97</v>
      </c>
      <c r="N41">
        <f>L41</f>
        <v>1</v>
      </c>
    </row>
    <row r="42" spans="1:14">
      <c r="B42" t="s">
        <v>98</v>
      </c>
      <c r="C42">
        <v>0</v>
      </c>
      <c r="H42" t="s">
        <v>99</v>
      </c>
      <c r="L42">
        <f>N41*N40</f>
        <v>10000</v>
      </c>
      <c r="M42" t="s">
        <v>90</v>
      </c>
    </row>
    <row r="43" spans="1:14">
      <c r="B43" t="s">
        <v>100</v>
      </c>
      <c r="C43">
        <v>0</v>
      </c>
      <c r="H43" s="78"/>
      <c r="I43" s="78"/>
      <c r="J43" s="78"/>
      <c r="K43" s="121"/>
      <c r="L43" s="78"/>
      <c r="M43" s="78"/>
      <c r="N43" s="78"/>
    </row>
    <row r="44" spans="1:14">
      <c r="H44" s="78" t="s">
        <v>101</v>
      </c>
      <c r="I44" s="78"/>
      <c r="J44" s="78"/>
      <c r="K44" s="78">
        <f>J38/(J38+L42)</f>
        <v>9.0909090909090912E-2</v>
      </c>
      <c r="L44" s="78"/>
      <c r="M44" s="78"/>
      <c r="N44" s="78"/>
    </row>
    <row r="45" spans="1:14">
      <c r="H45" s="78" t="s">
        <v>102</v>
      </c>
      <c r="I45" s="78"/>
      <c r="J45" s="78"/>
      <c r="K45" s="78">
        <f>1-K44</f>
        <v>0.90909090909090906</v>
      </c>
      <c r="L45" s="78"/>
      <c r="M45" s="78"/>
      <c r="N45" s="78"/>
    </row>
    <row r="46" spans="1:14">
      <c r="A46" s="1" t="s">
        <v>103</v>
      </c>
      <c r="D46" t="s">
        <v>104</v>
      </c>
      <c r="E46">
        <f>18.012</f>
        <v>18.012</v>
      </c>
      <c r="H46" s="78"/>
      <c r="I46" s="78"/>
      <c r="J46" s="78"/>
      <c r="K46" s="78"/>
      <c r="L46" s="78"/>
      <c r="M46" s="78"/>
      <c r="N46" s="78"/>
    </row>
    <row r="47" spans="1:14">
      <c r="A47" t="s">
        <v>38</v>
      </c>
      <c r="B47">
        <f>B37</f>
        <v>25</v>
      </c>
      <c r="C47" s="120" t="s">
        <v>87</v>
      </c>
      <c r="H47" s="1" t="s">
        <v>105</v>
      </c>
      <c r="I47" s="78"/>
      <c r="J47" s="78"/>
      <c r="K47" s="122">
        <f>E40*K44+E50*K45</f>
        <v>85.893237691619134</v>
      </c>
      <c r="L47" s="122" t="s">
        <v>93</v>
      </c>
      <c r="M47" s="78"/>
      <c r="N47" s="78"/>
    </row>
    <row r="48" spans="1:14">
      <c r="B48">
        <f>B47+273</f>
        <v>298</v>
      </c>
      <c r="C48" t="s">
        <v>88</v>
      </c>
    </row>
    <row r="50" spans="1:11">
      <c r="A50" t="s">
        <v>106</v>
      </c>
      <c r="B50" t="s">
        <v>92</v>
      </c>
      <c r="C50">
        <v>20.36</v>
      </c>
      <c r="D50" t="s">
        <v>19</v>
      </c>
      <c r="E50">
        <f>C50+C51*B48+C52*(B48^-2)+C53*(B48^2)</f>
        <v>75.760930660781042</v>
      </c>
      <c r="F50" t="s">
        <v>93</v>
      </c>
    </row>
    <row r="51" spans="1:11">
      <c r="B51" t="s">
        <v>95</v>
      </c>
      <c r="C51" s="123">
        <v>0.10920000000000001</v>
      </c>
    </row>
    <row r="52" spans="1:11">
      <c r="B52" t="s">
        <v>98</v>
      </c>
      <c r="C52" s="123">
        <v>2030000</v>
      </c>
      <c r="I52" s="1"/>
      <c r="J52" s="1"/>
      <c r="K52" s="1"/>
    </row>
    <row r="53" spans="1:11">
      <c r="B53" t="s">
        <v>100</v>
      </c>
      <c r="C53">
        <v>0</v>
      </c>
    </row>
    <row r="55" spans="1:11">
      <c r="H55" s="1" t="s">
        <v>107</v>
      </c>
    </row>
    <row r="56" spans="1:11">
      <c r="A56" s="118" t="s">
        <v>108</v>
      </c>
    </row>
    <row r="57" spans="1:11">
      <c r="H57" t="s">
        <v>109</v>
      </c>
      <c r="J57" s="4">
        <v>55</v>
      </c>
      <c r="K57" t="s">
        <v>110</v>
      </c>
    </row>
    <row r="58" spans="1:11">
      <c r="A58" s="1" t="s">
        <v>111</v>
      </c>
      <c r="D58" t="s">
        <v>104</v>
      </c>
      <c r="E58">
        <v>121.93</v>
      </c>
      <c r="J58">
        <f>J57/50.9415</f>
        <v>1.0796698173394974</v>
      </c>
      <c r="K58" t="s">
        <v>112</v>
      </c>
    </row>
    <row r="59" spans="1:11">
      <c r="A59" t="s">
        <v>38</v>
      </c>
      <c r="B59" s="4">
        <v>25</v>
      </c>
      <c r="C59" s="120" t="s">
        <v>87</v>
      </c>
    </row>
    <row r="60" spans="1:11">
      <c r="B60">
        <f>B59+273</f>
        <v>298</v>
      </c>
      <c r="C60" t="s">
        <v>88</v>
      </c>
      <c r="H60" t="s">
        <v>113</v>
      </c>
    </row>
    <row r="62" spans="1:11">
      <c r="A62" t="s">
        <v>91</v>
      </c>
      <c r="B62" t="s">
        <v>92</v>
      </c>
      <c r="C62">
        <v>255.39099999999999</v>
      </c>
      <c r="D62" t="s">
        <v>19</v>
      </c>
      <c r="E62">
        <f>C62+C63*B60+C64*(B60^-2)+C65*(B60^2)</f>
        <v>195.0681035470474</v>
      </c>
      <c r="F62" t="s">
        <v>93</v>
      </c>
      <c r="H62" t="s">
        <v>114</v>
      </c>
      <c r="J62">
        <f>J58</f>
        <v>1.0796698173394974</v>
      </c>
      <c r="K62" t="s">
        <v>115</v>
      </c>
    </row>
    <row r="63" spans="1:11">
      <c r="B63" t="s">
        <v>95</v>
      </c>
      <c r="C63" s="123">
        <v>6.2760000000000003E-3</v>
      </c>
      <c r="H63" t="s">
        <v>116</v>
      </c>
      <c r="J63">
        <f>J62*E58</f>
        <v>131.64414082820494</v>
      </c>
      <c r="K63" t="s">
        <v>117</v>
      </c>
    </row>
    <row r="64" spans="1:11">
      <c r="B64" t="s">
        <v>98</v>
      </c>
      <c r="C64" s="123">
        <v>-5523000</v>
      </c>
    </row>
    <row r="65" spans="2:14">
      <c r="B65" t="s">
        <v>100</v>
      </c>
      <c r="C65">
        <v>0</v>
      </c>
      <c r="H65" t="s">
        <v>118</v>
      </c>
      <c r="K65" s="4">
        <v>1.02</v>
      </c>
      <c r="L65" t="s">
        <v>97</v>
      </c>
      <c r="M65">
        <f>K65*1000</f>
        <v>1020</v>
      </c>
      <c r="N65" t="s">
        <v>117</v>
      </c>
    </row>
    <row r="67" spans="2:14">
      <c r="H67" t="s">
        <v>119</v>
      </c>
      <c r="K67">
        <f>J63/(J63+M65)</f>
        <v>0.11430973871280503</v>
      </c>
    </row>
    <row r="68" spans="2:14">
      <c r="H68" t="s">
        <v>120</v>
      </c>
      <c r="K68">
        <f>1-K67</f>
        <v>0.88569026128719497</v>
      </c>
    </row>
    <row r="70" spans="2:14">
      <c r="H70" s="1" t="s">
        <v>121</v>
      </c>
      <c r="I70" s="1"/>
      <c r="J70" s="1"/>
      <c r="K70" s="1"/>
      <c r="L70" s="122">
        <f>K67*E62+K68*E50</f>
        <v>89.398902419973609</v>
      </c>
      <c r="M70" s="122" t="s">
        <v>93</v>
      </c>
    </row>
  </sheetData>
  <mergeCells count="9">
    <mergeCell ref="I11:K11"/>
    <mergeCell ref="I12:K12"/>
    <mergeCell ref="I13:O13"/>
    <mergeCell ref="I5:L5"/>
    <mergeCell ref="I7:K7"/>
    <mergeCell ref="I6:K6"/>
    <mergeCell ref="I8:K8"/>
    <mergeCell ref="I9:O9"/>
    <mergeCell ref="I10:K10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0"/>
  <sheetViews>
    <sheetView workbookViewId="0">
      <selection activeCell="D20" sqref="D20"/>
    </sheetView>
  </sheetViews>
  <sheetFormatPr defaultRowHeight="15"/>
  <cols>
    <col min="2" max="2" width="12.5703125" customWidth="1"/>
    <col min="5" max="6" width="11.7109375" customWidth="1"/>
    <col min="7" max="7" width="10.140625" customWidth="1"/>
    <col min="8" max="8" width="11.140625" customWidth="1"/>
    <col min="9" max="9" width="11.28515625" customWidth="1"/>
    <col min="10" max="10" width="16.42578125" customWidth="1"/>
    <col min="11" max="11" width="16.7109375" customWidth="1"/>
    <col min="12" max="12" width="9.42578125" bestFit="1" customWidth="1"/>
  </cols>
  <sheetData>
    <row r="1" spans="1:17">
      <c r="A1" s="4"/>
      <c r="B1" t="s">
        <v>21</v>
      </c>
      <c r="D1" s="81"/>
      <c r="E1" t="s">
        <v>80</v>
      </c>
    </row>
    <row r="2" spans="1:17">
      <c r="A2" s="5"/>
      <c r="B2" t="s">
        <v>22</v>
      </c>
    </row>
    <row r="3" spans="1:17" ht="15.75" thickBot="1"/>
    <row r="4" spans="1:17" ht="45.75" thickTop="1">
      <c r="A4" s="107" t="s">
        <v>41</v>
      </c>
      <c r="B4" s="62" t="s">
        <v>59</v>
      </c>
      <c r="C4" s="114" t="s">
        <v>66</v>
      </c>
      <c r="D4" s="115"/>
      <c r="E4" s="75" t="s">
        <v>72</v>
      </c>
      <c r="F4" s="75" t="s">
        <v>74</v>
      </c>
      <c r="G4" s="63" t="s">
        <v>35</v>
      </c>
      <c r="H4" s="63" t="s">
        <v>36</v>
      </c>
      <c r="I4" s="64" t="s">
        <v>37</v>
      </c>
      <c r="J4" s="65" t="s">
        <v>68</v>
      </c>
      <c r="K4" s="65" t="s">
        <v>67</v>
      </c>
      <c r="L4" s="66" t="s">
        <v>34</v>
      </c>
      <c r="M4" s="61"/>
      <c r="N4" s="14" t="s">
        <v>38</v>
      </c>
      <c r="O4" s="15" t="s">
        <v>39</v>
      </c>
      <c r="P4" s="16" t="s">
        <v>40</v>
      </c>
    </row>
    <row r="5" spans="1:17">
      <c r="A5" s="108"/>
      <c r="B5" s="110" t="s">
        <v>42</v>
      </c>
      <c r="C5" s="110" t="s">
        <v>54</v>
      </c>
      <c r="D5" s="110" t="s">
        <v>1</v>
      </c>
      <c r="E5" s="116" t="s">
        <v>73</v>
      </c>
      <c r="F5" s="116" t="s">
        <v>69</v>
      </c>
      <c r="G5" s="110" t="s">
        <v>43</v>
      </c>
      <c r="H5" s="110" t="s">
        <v>44</v>
      </c>
      <c r="I5" s="112" t="s">
        <v>45</v>
      </c>
      <c r="J5" s="67" t="s">
        <v>46</v>
      </c>
      <c r="K5" s="67" t="s">
        <v>47</v>
      </c>
      <c r="L5" s="68"/>
      <c r="M5" s="61"/>
      <c r="N5" s="17" t="s">
        <v>48</v>
      </c>
      <c r="O5" s="18" t="s">
        <v>49</v>
      </c>
      <c r="P5" s="19" t="s">
        <v>50</v>
      </c>
    </row>
    <row r="6" spans="1:17" ht="18" customHeight="1" thickBot="1">
      <c r="A6" s="109"/>
      <c r="B6" s="111"/>
      <c r="C6" s="111"/>
      <c r="D6" s="111"/>
      <c r="E6" s="117"/>
      <c r="F6" s="117"/>
      <c r="G6" s="111"/>
      <c r="H6" s="111"/>
      <c r="I6" s="113"/>
      <c r="J6" s="69" t="s">
        <v>71</v>
      </c>
      <c r="K6" s="70" t="s">
        <v>55</v>
      </c>
      <c r="L6" s="71" t="s">
        <v>56</v>
      </c>
      <c r="N6" s="20" t="s">
        <v>51</v>
      </c>
      <c r="O6" s="21" t="s">
        <v>52</v>
      </c>
      <c r="P6" s="22" t="s">
        <v>53</v>
      </c>
    </row>
    <row r="7" spans="1:17" ht="15.75" thickBot="1">
      <c r="A7" s="52">
        <v>1</v>
      </c>
      <c r="B7" s="53">
        <v>10</v>
      </c>
      <c r="C7" s="72">
        <v>475</v>
      </c>
      <c r="D7" s="54">
        <f>+C7*60/1000</f>
        <v>28.5</v>
      </c>
      <c r="E7" s="77">
        <f>+D7/$D$14*100</f>
        <v>33.928571428571431</v>
      </c>
      <c r="F7" s="77">
        <f>+D14/$D$20</f>
        <v>5.6</v>
      </c>
      <c r="G7" s="54">
        <v>100</v>
      </c>
      <c r="H7" s="55">
        <f t="shared" ref="H7:H11" si="0">3.14*((G7/2/1000)^2)</f>
        <v>7.8500000000000011E-3</v>
      </c>
      <c r="I7" s="56">
        <f>+C7/1000/60</f>
        <v>7.9166666666666656E-3</v>
      </c>
      <c r="J7" s="56">
        <f t="shared" ref="J7:J11" si="1">+I7/H7</f>
        <v>1.0084925690021229</v>
      </c>
      <c r="K7" s="46">
        <f>+B7/J7</f>
        <v>9.915789473684212</v>
      </c>
      <c r="L7" s="47">
        <f>1000*J7*(G7/1000)/($O$10/1000)</f>
        <v>100647.96097825578</v>
      </c>
      <c r="N7" s="24">
        <v>0</v>
      </c>
      <c r="O7" s="25">
        <v>1.7869999999999999</v>
      </c>
      <c r="P7" s="26">
        <v>1.7869999999999999</v>
      </c>
    </row>
    <row r="8" spans="1:17" ht="15.75" thickBot="1">
      <c r="A8" s="28">
        <v>2</v>
      </c>
      <c r="B8" s="29">
        <v>10</v>
      </c>
      <c r="C8" s="73">
        <v>550</v>
      </c>
      <c r="D8" s="54">
        <f t="shared" ref="D8:D11" si="2">+C8*60/1000</f>
        <v>33</v>
      </c>
      <c r="E8" s="77">
        <f t="shared" ref="E8:E11" si="3">+D8/$D$14*100</f>
        <v>39.285714285714285</v>
      </c>
      <c r="F8" s="77">
        <f>+$D$14/$D$20</f>
        <v>5.6</v>
      </c>
      <c r="G8" s="30">
        <v>100</v>
      </c>
      <c r="H8" s="31">
        <f t="shared" si="0"/>
        <v>7.8500000000000011E-3</v>
      </c>
      <c r="I8" s="33">
        <f>+C8/1000/60</f>
        <v>9.1666666666666667E-3</v>
      </c>
      <c r="J8" s="33">
        <f t="shared" si="1"/>
        <v>1.1677282377919318</v>
      </c>
      <c r="K8" s="34">
        <f>+B8/J8</f>
        <v>8.5636363636363662</v>
      </c>
      <c r="L8" s="23">
        <f>1000*J8*(G8/1000)/($O$10/1000)</f>
        <v>116539.74429061195</v>
      </c>
      <c r="N8" s="24">
        <v>5</v>
      </c>
      <c r="O8" s="25">
        <v>1.5189999999999999</v>
      </c>
      <c r="P8" s="26">
        <v>1.5189999999999999</v>
      </c>
    </row>
    <row r="9" spans="1:17" ht="15.75" thickBot="1">
      <c r="A9" s="57">
        <v>3</v>
      </c>
      <c r="B9" s="30">
        <v>10</v>
      </c>
      <c r="C9" s="73">
        <v>650</v>
      </c>
      <c r="D9" s="54">
        <f t="shared" si="2"/>
        <v>39</v>
      </c>
      <c r="E9" s="77">
        <f t="shared" si="3"/>
        <v>46.428571428571431</v>
      </c>
      <c r="F9" s="77">
        <f t="shared" ref="F9:F11" si="4">+$D$14/$D$20</f>
        <v>5.6</v>
      </c>
      <c r="G9" s="30">
        <v>100</v>
      </c>
      <c r="H9" s="31">
        <f t="shared" si="0"/>
        <v>7.8500000000000011E-3</v>
      </c>
      <c r="I9" s="58">
        <f>+C9/1000/60</f>
        <v>1.0833333333333334E-2</v>
      </c>
      <c r="J9" s="58">
        <f t="shared" si="1"/>
        <v>1.3800424628450105</v>
      </c>
      <c r="K9" s="59">
        <f>+B9/J9</f>
        <v>7.2461538461538462</v>
      </c>
      <c r="L9" s="60">
        <f>1000*J9*(G9/1000)/($O$10/1000)</f>
        <v>137728.78870708687</v>
      </c>
      <c r="N9" s="24">
        <v>10</v>
      </c>
      <c r="O9" s="25">
        <v>1.3069999999999999</v>
      </c>
      <c r="P9" s="26">
        <v>1.3069999999999999</v>
      </c>
    </row>
    <row r="10" spans="1:17" ht="15.75" thickBot="1">
      <c r="A10" s="28">
        <v>4</v>
      </c>
      <c r="B10" s="29">
        <v>10</v>
      </c>
      <c r="C10" s="73">
        <v>750</v>
      </c>
      <c r="D10" s="54">
        <f t="shared" si="2"/>
        <v>45</v>
      </c>
      <c r="E10" s="77">
        <f t="shared" si="3"/>
        <v>53.571428571428569</v>
      </c>
      <c r="F10" s="77">
        <f t="shared" si="4"/>
        <v>5.6</v>
      </c>
      <c r="G10" s="30">
        <v>100</v>
      </c>
      <c r="H10" s="31">
        <f t="shared" si="0"/>
        <v>7.8500000000000011E-3</v>
      </c>
      <c r="I10" s="32">
        <f>+C10/1000/60</f>
        <v>1.2500000000000001E-2</v>
      </c>
      <c r="J10" s="33">
        <f t="shared" si="1"/>
        <v>1.592356687898089</v>
      </c>
      <c r="K10" s="34">
        <f>+B10/J10</f>
        <v>6.28</v>
      </c>
      <c r="L10" s="23">
        <f>1000*J10*(G10/1000)/($O$10/1000)</f>
        <v>158917.83312356178</v>
      </c>
      <c r="N10" s="43">
        <v>20</v>
      </c>
      <c r="O10" s="44">
        <v>1.002</v>
      </c>
      <c r="P10" s="45">
        <v>1.004</v>
      </c>
    </row>
    <row r="11" spans="1:17" ht="15.75" thickBot="1">
      <c r="A11" s="35">
        <v>5</v>
      </c>
      <c r="B11" s="36">
        <v>10</v>
      </c>
      <c r="C11" s="74">
        <v>850</v>
      </c>
      <c r="D11" s="79">
        <f t="shared" si="2"/>
        <v>51</v>
      </c>
      <c r="E11" s="80">
        <f t="shared" si="3"/>
        <v>60.714285714285708</v>
      </c>
      <c r="F11" s="80">
        <f t="shared" si="4"/>
        <v>5.6</v>
      </c>
      <c r="G11" s="37">
        <v>100</v>
      </c>
      <c r="H11" s="38">
        <f t="shared" si="0"/>
        <v>7.8500000000000011E-3</v>
      </c>
      <c r="I11" s="39">
        <f>+C11/1000/60</f>
        <v>1.4166666666666666E-2</v>
      </c>
      <c r="J11" s="40">
        <f t="shared" si="1"/>
        <v>1.8046709129511673</v>
      </c>
      <c r="K11" s="41">
        <f>+B11/J11</f>
        <v>5.5411764705882369</v>
      </c>
      <c r="L11" s="42">
        <f>1000*J11*(G11/1000)/($O$10/1000)</f>
        <v>180106.87754003666</v>
      </c>
      <c r="N11" s="24">
        <v>30</v>
      </c>
      <c r="O11" s="25">
        <v>0.79800000000000004</v>
      </c>
      <c r="P11" s="26">
        <v>0.80100000000000005</v>
      </c>
    </row>
    <row r="12" spans="1:17" ht="15.75" thickBot="1">
      <c r="M12" s="27"/>
      <c r="N12" s="24">
        <v>40</v>
      </c>
      <c r="O12" s="25">
        <v>0.65300000000000002</v>
      </c>
      <c r="P12" s="26">
        <v>0.65800000000000003</v>
      </c>
      <c r="Q12" s="27"/>
    </row>
    <row r="13" spans="1:17" ht="15.75" thickBot="1">
      <c r="A13" s="1" t="s">
        <v>61</v>
      </c>
      <c r="D13" s="6">
        <f>3.14*(D15/2)^2*D16</f>
        <v>95.373575000000017</v>
      </c>
      <c r="E13" t="s">
        <v>65</v>
      </c>
      <c r="M13" s="27"/>
      <c r="N13" s="24">
        <v>50</v>
      </c>
      <c r="O13" s="25">
        <v>0.54700000000000004</v>
      </c>
      <c r="P13" s="26">
        <v>0.55300000000000005</v>
      </c>
      <c r="Q13" s="27"/>
    </row>
    <row r="14" spans="1:17" ht="15.75" thickBot="1">
      <c r="B14" t="s">
        <v>70</v>
      </c>
      <c r="D14" s="4">
        <v>84</v>
      </c>
      <c r="E14" t="s">
        <v>65</v>
      </c>
      <c r="M14" s="27"/>
      <c r="N14" s="24">
        <v>60</v>
      </c>
      <c r="O14" s="25">
        <v>0.46700000000000003</v>
      </c>
      <c r="P14" s="26">
        <v>0.47499999999999998</v>
      </c>
      <c r="Q14" s="27"/>
    </row>
    <row r="15" spans="1:17" ht="15.75" thickBot="1">
      <c r="B15" t="s">
        <v>62</v>
      </c>
      <c r="D15">
        <v>4.7</v>
      </c>
      <c r="E15" t="s">
        <v>63</v>
      </c>
      <c r="M15" s="27"/>
      <c r="N15" s="24">
        <v>70</v>
      </c>
      <c r="O15" s="25">
        <v>0.40400000000000003</v>
      </c>
      <c r="P15" s="26">
        <v>0.41299999999999998</v>
      </c>
      <c r="Q15" s="27"/>
    </row>
    <row r="16" spans="1:17" ht="15.75" thickBot="1">
      <c r="B16" t="s">
        <v>64</v>
      </c>
      <c r="D16">
        <v>5.5</v>
      </c>
      <c r="E16" t="s">
        <v>63</v>
      </c>
      <c r="M16" s="27"/>
      <c r="N16" s="43">
        <v>80</v>
      </c>
      <c r="O16" s="44">
        <v>0.35499999999999998</v>
      </c>
      <c r="P16" s="45">
        <v>0.36499999999999999</v>
      </c>
      <c r="Q16" s="27"/>
    </row>
    <row r="17" spans="1:17" ht="15.75" thickBot="1">
      <c r="A17" s="76"/>
      <c r="M17" s="27"/>
      <c r="N17" s="24">
        <v>90</v>
      </c>
      <c r="O17" s="25">
        <v>0.315</v>
      </c>
      <c r="P17" s="26">
        <v>0.32600000000000001</v>
      </c>
      <c r="Q17" s="27"/>
    </row>
    <row r="18" spans="1:17" ht="15.75" thickBot="1">
      <c r="A18" s="1" t="s">
        <v>75</v>
      </c>
      <c r="D18" s="78">
        <v>10</v>
      </c>
      <c r="E18" t="s">
        <v>1</v>
      </c>
      <c r="M18" s="27"/>
      <c r="N18" s="48">
        <v>100</v>
      </c>
      <c r="O18" s="49">
        <v>0.28199999999999997</v>
      </c>
      <c r="P18" s="50">
        <v>0.29399999999999998</v>
      </c>
      <c r="Q18" s="27"/>
    </row>
    <row r="19" spans="1:17" ht="15.75" thickTop="1">
      <c r="A19" s="1"/>
      <c r="D19" s="78">
        <v>12.5</v>
      </c>
      <c r="E19" t="s">
        <v>1</v>
      </c>
      <c r="M19" s="27"/>
      <c r="N19" s="27"/>
      <c r="O19" s="27"/>
      <c r="P19" s="27"/>
      <c r="Q19" s="27"/>
    </row>
    <row r="20" spans="1:17">
      <c r="D20" s="4">
        <v>15</v>
      </c>
      <c r="E20" t="s">
        <v>1</v>
      </c>
      <c r="G20" s="6"/>
      <c r="M20" s="27"/>
      <c r="N20" s="51" t="s">
        <v>57</v>
      </c>
      <c r="O20" s="27"/>
      <c r="P20" s="27"/>
      <c r="Q20" s="27"/>
    </row>
    <row r="21" spans="1:17" ht="15.75" thickBot="1">
      <c r="M21" s="27"/>
      <c r="N21" s="51" t="s">
        <v>58</v>
      </c>
      <c r="O21" s="27"/>
      <c r="P21" s="27"/>
      <c r="Q21" s="27"/>
    </row>
    <row r="22" spans="1:17">
      <c r="A22" s="82" t="s">
        <v>76</v>
      </c>
      <c r="B22" s="83"/>
      <c r="C22" s="83"/>
      <c r="D22" s="83"/>
      <c r="E22" s="83"/>
      <c r="F22" s="83"/>
      <c r="G22" s="84"/>
      <c r="M22" s="27"/>
      <c r="N22" s="27"/>
      <c r="O22" s="27"/>
      <c r="P22" s="27"/>
      <c r="Q22" s="27"/>
    </row>
    <row r="23" spans="1:17">
      <c r="A23" s="85"/>
      <c r="B23" s="86"/>
      <c r="C23" s="86"/>
      <c r="D23" s="86"/>
      <c r="E23" s="86"/>
      <c r="F23" s="86"/>
      <c r="G23" s="87"/>
      <c r="M23" s="27"/>
      <c r="N23" s="27"/>
      <c r="O23" s="27"/>
      <c r="P23" s="27"/>
      <c r="Q23" s="27"/>
    </row>
    <row r="24" spans="1:17">
      <c r="A24" s="88" t="s">
        <v>0</v>
      </c>
      <c r="B24" s="86"/>
      <c r="C24" s="86"/>
      <c r="D24" s="86"/>
      <c r="E24" s="86"/>
      <c r="F24" s="86"/>
      <c r="G24" s="87"/>
      <c r="M24" s="27"/>
      <c r="N24" s="27"/>
      <c r="O24" s="27"/>
      <c r="P24" s="27"/>
      <c r="Q24" s="27"/>
    </row>
    <row r="25" spans="1:17">
      <c r="A25" s="85" t="s">
        <v>77</v>
      </c>
      <c r="B25" s="86"/>
      <c r="C25" s="86"/>
      <c r="D25" s="89">
        <f>+D7</f>
        <v>28.5</v>
      </c>
      <c r="E25" s="86" t="s">
        <v>1</v>
      </c>
      <c r="F25" s="86"/>
      <c r="G25" s="87"/>
      <c r="M25" s="27"/>
      <c r="N25" s="27"/>
      <c r="O25" s="27"/>
      <c r="P25" s="27"/>
      <c r="Q25" s="27"/>
    </row>
    <row r="26" spans="1:17">
      <c r="A26" s="85"/>
      <c r="B26" s="86"/>
      <c r="C26" s="86"/>
      <c r="D26" s="90">
        <f>+D25/60*D27/60</f>
        <v>8.3125</v>
      </c>
      <c r="E26" s="86" t="s">
        <v>16</v>
      </c>
      <c r="F26" s="86"/>
      <c r="G26" s="87"/>
      <c r="M26" s="27"/>
      <c r="N26" s="27"/>
      <c r="O26" s="27"/>
      <c r="P26" s="27"/>
      <c r="Q26" s="27"/>
    </row>
    <row r="27" spans="1:17">
      <c r="A27" s="85" t="s">
        <v>78</v>
      </c>
      <c r="B27" s="86"/>
      <c r="C27" s="86"/>
      <c r="D27" s="89">
        <f>+'Heat Calcs - 1st HE'!D8</f>
        <v>1050</v>
      </c>
      <c r="E27" s="86" t="s">
        <v>8</v>
      </c>
      <c r="F27" s="86"/>
      <c r="G27" s="87"/>
      <c r="M27" s="27"/>
      <c r="N27" s="27"/>
      <c r="O27" s="27"/>
      <c r="P27" s="27"/>
      <c r="Q27" s="27"/>
    </row>
    <row r="28" spans="1:17">
      <c r="A28" s="85" t="s">
        <v>79</v>
      </c>
      <c r="B28" s="86"/>
      <c r="C28" s="86"/>
      <c r="D28" s="91">
        <v>4.1980000000000004</v>
      </c>
      <c r="E28" s="86" t="s">
        <v>25</v>
      </c>
      <c r="F28" s="86"/>
      <c r="G28" s="87"/>
    </row>
    <row r="29" spans="1:17">
      <c r="A29" s="85" t="s">
        <v>3</v>
      </c>
      <c r="B29" s="86"/>
      <c r="C29" s="86"/>
      <c r="D29" s="91">
        <v>45</v>
      </c>
      <c r="E29" s="86" t="s">
        <v>5</v>
      </c>
      <c r="F29" s="86" t="s">
        <v>23</v>
      </c>
      <c r="G29" s="87"/>
    </row>
    <row r="30" spans="1:17">
      <c r="A30" s="85" t="s">
        <v>4</v>
      </c>
      <c r="B30" s="86"/>
      <c r="C30" s="86"/>
      <c r="D30" s="91">
        <v>40</v>
      </c>
      <c r="E30" s="86" t="s">
        <v>5</v>
      </c>
      <c r="F30" s="86" t="s">
        <v>24</v>
      </c>
      <c r="G30" s="87"/>
    </row>
    <row r="31" spans="1:17">
      <c r="A31" s="85"/>
      <c r="B31" s="86"/>
      <c r="C31" s="86"/>
      <c r="D31" s="92">
        <f>+D26*D28*(D29-D30)</f>
        <v>174.479375</v>
      </c>
      <c r="E31" s="86" t="s">
        <v>17</v>
      </c>
      <c r="F31" s="86"/>
      <c r="G31" s="87"/>
    </row>
    <row r="32" spans="1:17">
      <c r="A32" s="85"/>
      <c r="B32" s="86"/>
      <c r="C32" s="86"/>
      <c r="D32" s="86"/>
      <c r="E32" s="86"/>
      <c r="F32" s="86"/>
      <c r="G32" s="87"/>
    </row>
    <row r="33" spans="1:7">
      <c r="A33" s="88" t="s">
        <v>9</v>
      </c>
      <c r="B33" s="86"/>
      <c r="C33" s="86"/>
      <c r="D33" s="86"/>
      <c r="E33" s="86"/>
      <c r="F33" s="86"/>
      <c r="G33" s="87"/>
    </row>
    <row r="34" spans="1:7">
      <c r="A34" s="85" t="s">
        <v>10</v>
      </c>
      <c r="B34" s="86"/>
      <c r="C34" s="86"/>
      <c r="D34" s="93">
        <f>+D35/D36*60*60</f>
        <v>15.026931818181819</v>
      </c>
      <c r="E34" s="86" t="s">
        <v>1</v>
      </c>
      <c r="F34" s="86"/>
      <c r="G34" s="87"/>
    </row>
    <row r="35" spans="1:7">
      <c r="A35" s="85"/>
      <c r="B35" s="86"/>
      <c r="C35" s="86"/>
      <c r="D35" s="90">
        <f>+D45</f>
        <v>4.1741477272727279</v>
      </c>
      <c r="E35" s="86" t="s">
        <v>16</v>
      </c>
      <c r="F35" s="86"/>
      <c r="G35" s="87"/>
    </row>
    <row r="36" spans="1:7">
      <c r="A36" s="85" t="s">
        <v>11</v>
      </c>
      <c r="B36" s="86"/>
      <c r="C36" s="86"/>
      <c r="D36" s="86">
        <v>1000</v>
      </c>
      <c r="E36" s="86" t="s">
        <v>8</v>
      </c>
      <c r="F36" s="86"/>
      <c r="G36" s="87"/>
    </row>
    <row r="37" spans="1:7">
      <c r="A37" s="85" t="s">
        <v>12</v>
      </c>
      <c r="B37" s="86"/>
      <c r="C37" s="86"/>
      <c r="D37" s="86">
        <v>4.18</v>
      </c>
      <c r="E37" s="86" t="s">
        <v>25</v>
      </c>
      <c r="F37" s="86"/>
      <c r="G37" s="87"/>
    </row>
    <row r="38" spans="1:7">
      <c r="A38" s="85" t="s">
        <v>13</v>
      </c>
      <c r="B38" s="86"/>
      <c r="C38" s="86"/>
      <c r="D38" s="91">
        <v>30</v>
      </c>
      <c r="E38" s="86" t="s">
        <v>5</v>
      </c>
      <c r="F38" s="86" t="s">
        <v>15</v>
      </c>
      <c r="G38" s="87"/>
    </row>
    <row r="39" spans="1:7">
      <c r="A39" s="85" t="s">
        <v>14</v>
      </c>
      <c r="B39" s="86"/>
      <c r="C39" s="86"/>
      <c r="D39" s="86">
        <f>+D30</f>
        <v>40</v>
      </c>
      <c r="E39" s="86" t="s">
        <v>5</v>
      </c>
      <c r="F39" s="86"/>
      <c r="G39" s="87"/>
    </row>
    <row r="40" spans="1:7">
      <c r="A40" s="85"/>
      <c r="B40" s="86"/>
      <c r="C40" s="86"/>
      <c r="D40" s="86"/>
      <c r="E40" s="86"/>
      <c r="F40" s="86"/>
      <c r="G40" s="87"/>
    </row>
    <row r="41" spans="1:7">
      <c r="A41" s="88" t="s">
        <v>18</v>
      </c>
      <c r="B41" s="86"/>
      <c r="C41" s="86"/>
      <c r="D41" s="86"/>
      <c r="E41" s="86"/>
      <c r="F41" s="86"/>
      <c r="G41" s="87"/>
    </row>
    <row r="42" spans="1:7">
      <c r="A42" s="85">
        <f>+D31</f>
        <v>174.479375</v>
      </c>
      <c r="B42" s="86" t="s">
        <v>17</v>
      </c>
      <c r="C42" s="94" t="s">
        <v>19</v>
      </c>
      <c r="D42" s="86" t="s">
        <v>20</v>
      </c>
      <c r="E42" s="86"/>
      <c r="F42" s="86"/>
      <c r="G42" s="87"/>
    </row>
    <row r="43" spans="1:7">
      <c r="A43" s="85"/>
      <c r="B43" s="86"/>
      <c r="C43" s="94" t="s">
        <v>19</v>
      </c>
      <c r="D43" s="86" t="s">
        <v>26</v>
      </c>
      <c r="E43" s="86"/>
      <c r="F43" s="86"/>
      <c r="G43" s="87"/>
    </row>
    <row r="44" spans="1:7">
      <c r="A44" s="85"/>
      <c r="B44" s="86"/>
      <c r="C44" s="94" t="s">
        <v>19</v>
      </c>
      <c r="D44" s="86">
        <f>+D37*(D39-D38)</f>
        <v>41.8</v>
      </c>
      <c r="E44" s="86" t="s">
        <v>16</v>
      </c>
      <c r="F44" s="86"/>
      <c r="G44" s="87"/>
    </row>
    <row r="45" spans="1:7" ht="15.75" thickBot="1">
      <c r="A45" s="95"/>
      <c r="B45" s="96"/>
      <c r="C45" s="97" t="s">
        <v>19</v>
      </c>
      <c r="D45" s="98">
        <f>+A42/D44</f>
        <v>4.1741477272727279</v>
      </c>
      <c r="E45" s="96" t="s">
        <v>16</v>
      </c>
      <c r="F45" s="96"/>
      <c r="G45" s="99"/>
    </row>
    <row r="46" spans="1:7" ht="15.75" thickBot="1"/>
    <row r="47" spans="1:7">
      <c r="A47" s="82" t="s">
        <v>81</v>
      </c>
      <c r="B47" s="83"/>
      <c r="C47" s="83"/>
      <c r="D47" s="83"/>
      <c r="E47" s="83"/>
      <c r="F47" s="83"/>
      <c r="G47" s="84"/>
    </row>
    <row r="48" spans="1:7">
      <c r="A48" s="85"/>
      <c r="B48" s="86"/>
      <c r="C48" s="86"/>
      <c r="D48" s="86"/>
      <c r="E48" s="86"/>
      <c r="F48" s="86"/>
      <c r="G48" s="87"/>
    </row>
    <row r="49" spans="1:7">
      <c r="A49" s="88" t="s">
        <v>0</v>
      </c>
      <c r="B49" s="86"/>
      <c r="C49" s="86"/>
      <c r="D49" s="86"/>
      <c r="E49" s="86"/>
      <c r="F49" s="86"/>
      <c r="G49" s="87"/>
    </row>
    <row r="50" spans="1:7">
      <c r="A50" s="85" t="s">
        <v>77</v>
      </c>
      <c r="B50" s="86"/>
      <c r="C50" s="86"/>
      <c r="D50" s="89">
        <f>+D7</f>
        <v>28.5</v>
      </c>
      <c r="E50" s="86" t="s">
        <v>1</v>
      </c>
      <c r="F50" s="86"/>
      <c r="G50" s="87"/>
    </row>
    <row r="51" spans="1:7">
      <c r="A51" s="85"/>
      <c r="B51" s="86"/>
      <c r="C51" s="86"/>
      <c r="D51" s="90">
        <f>+D50/60*D52/60</f>
        <v>9.1041666666666661</v>
      </c>
      <c r="E51" s="86" t="s">
        <v>16</v>
      </c>
      <c r="F51" s="86"/>
      <c r="G51" s="87"/>
    </row>
    <row r="52" spans="1:7">
      <c r="A52" s="85" t="s">
        <v>78</v>
      </c>
      <c r="B52" s="86"/>
      <c r="C52" s="86"/>
      <c r="D52" s="91">
        <v>1150</v>
      </c>
      <c r="E52" s="86" t="s">
        <v>8</v>
      </c>
      <c r="F52" s="86"/>
      <c r="G52" s="87"/>
    </row>
    <row r="53" spans="1:7">
      <c r="A53" s="85" t="s">
        <v>79</v>
      </c>
      <c r="B53" s="86"/>
      <c r="C53" s="86"/>
      <c r="D53" s="91">
        <v>4.1980000000000004</v>
      </c>
      <c r="E53" s="86" t="s">
        <v>25</v>
      </c>
      <c r="F53" s="86"/>
      <c r="G53" s="87"/>
    </row>
    <row r="54" spans="1:7">
      <c r="A54" s="85" t="s">
        <v>3</v>
      </c>
      <c r="B54" s="86"/>
      <c r="C54" s="86"/>
      <c r="D54" s="91">
        <v>40</v>
      </c>
      <c r="E54" s="86" t="s">
        <v>5</v>
      </c>
      <c r="F54" s="86" t="s">
        <v>23</v>
      </c>
      <c r="G54" s="87"/>
    </row>
    <row r="55" spans="1:7">
      <c r="A55" s="85" t="s">
        <v>4</v>
      </c>
      <c r="B55" s="86"/>
      <c r="C55" s="86"/>
      <c r="D55" s="91">
        <v>35</v>
      </c>
      <c r="E55" s="86" t="s">
        <v>5</v>
      </c>
      <c r="F55" s="86" t="s">
        <v>24</v>
      </c>
      <c r="G55" s="87"/>
    </row>
    <row r="56" spans="1:7">
      <c r="A56" s="85"/>
      <c r="B56" s="86"/>
      <c r="C56" s="86"/>
      <c r="D56" s="92">
        <f>+D51*D53*(D54-D55)</f>
        <v>191.09645833333335</v>
      </c>
      <c r="E56" s="86" t="s">
        <v>17</v>
      </c>
      <c r="F56" s="86"/>
      <c r="G56" s="87"/>
    </row>
    <row r="57" spans="1:7">
      <c r="A57" s="85"/>
      <c r="B57" s="86"/>
      <c r="C57" s="86"/>
      <c r="D57" s="86"/>
      <c r="E57" s="86"/>
      <c r="F57" s="86"/>
      <c r="G57" s="87"/>
    </row>
    <row r="58" spans="1:7">
      <c r="A58" s="88" t="s">
        <v>9</v>
      </c>
      <c r="B58" s="86"/>
      <c r="C58" s="86"/>
      <c r="D58" s="86"/>
      <c r="E58" s="86"/>
      <c r="F58" s="86"/>
      <c r="G58" s="87"/>
    </row>
    <row r="59" spans="1:7">
      <c r="A59" s="85" t="s">
        <v>10</v>
      </c>
      <c r="B59" s="86"/>
      <c r="C59" s="86"/>
      <c r="D59" s="93">
        <f>+D60/D61*60*60</f>
        <v>32.916136363636369</v>
      </c>
      <c r="E59" s="86" t="s">
        <v>1</v>
      </c>
      <c r="F59" s="86"/>
      <c r="G59" s="87"/>
    </row>
    <row r="60" spans="1:7">
      <c r="A60" s="85"/>
      <c r="B60" s="86"/>
      <c r="C60" s="86"/>
      <c r="D60" s="90">
        <f>+D70</f>
        <v>9.1433712121212132</v>
      </c>
      <c r="E60" s="86" t="s">
        <v>16</v>
      </c>
      <c r="F60" s="86"/>
      <c r="G60" s="87"/>
    </row>
    <row r="61" spans="1:7">
      <c r="A61" s="85" t="s">
        <v>11</v>
      </c>
      <c r="B61" s="86"/>
      <c r="C61" s="86"/>
      <c r="D61" s="86">
        <v>1000</v>
      </c>
      <c r="E61" s="86" t="s">
        <v>8</v>
      </c>
      <c r="F61" s="86"/>
      <c r="G61" s="87"/>
    </row>
    <row r="62" spans="1:7">
      <c r="A62" s="85" t="s">
        <v>12</v>
      </c>
      <c r="B62" s="86"/>
      <c r="C62" s="86"/>
      <c r="D62" s="86">
        <v>4.18</v>
      </c>
      <c r="E62" s="86" t="s">
        <v>25</v>
      </c>
      <c r="F62" s="86"/>
      <c r="G62" s="87"/>
    </row>
    <row r="63" spans="1:7">
      <c r="A63" s="85" t="s">
        <v>13</v>
      </c>
      <c r="B63" s="86"/>
      <c r="C63" s="86"/>
      <c r="D63" s="91">
        <v>30</v>
      </c>
      <c r="E63" s="86" t="s">
        <v>5</v>
      </c>
      <c r="F63" s="86" t="s">
        <v>15</v>
      </c>
      <c r="G63" s="87"/>
    </row>
    <row r="64" spans="1:7">
      <c r="A64" s="85" t="s">
        <v>14</v>
      </c>
      <c r="B64" s="86"/>
      <c r="C64" s="86"/>
      <c r="D64" s="86">
        <f>+D55</f>
        <v>35</v>
      </c>
      <c r="E64" s="86" t="s">
        <v>5</v>
      </c>
      <c r="F64" s="86"/>
      <c r="G64" s="87"/>
    </row>
    <row r="65" spans="1:7">
      <c r="A65" s="85"/>
      <c r="B65" s="86"/>
      <c r="C65" s="86"/>
      <c r="D65" s="86"/>
      <c r="E65" s="86"/>
      <c r="F65" s="86"/>
      <c r="G65" s="87"/>
    </row>
    <row r="66" spans="1:7">
      <c r="A66" s="88" t="s">
        <v>18</v>
      </c>
      <c r="B66" s="86"/>
      <c r="C66" s="86"/>
      <c r="D66" s="86"/>
      <c r="E66" s="86"/>
      <c r="F66" s="86"/>
      <c r="G66" s="87"/>
    </row>
    <row r="67" spans="1:7">
      <c r="A67" s="85">
        <f>+D56</f>
        <v>191.09645833333335</v>
      </c>
      <c r="B67" s="86" t="s">
        <v>17</v>
      </c>
      <c r="C67" s="94" t="s">
        <v>19</v>
      </c>
      <c r="D67" s="86" t="s">
        <v>20</v>
      </c>
      <c r="E67" s="86"/>
      <c r="F67" s="86"/>
      <c r="G67" s="87"/>
    </row>
    <row r="68" spans="1:7">
      <c r="A68" s="85"/>
      <c r="B68" s="86"/>
      <c r="C68" s="94" t="s">
        <v>19</v>
      </c>
      <c r="D68" s="86" t="s">
        <v>26</v>
      </c>
      <c r="E68" s="86"/>
      <c r="F68" s="86"/>
      <c r="G68" s="87"/>
    </row>
    <row r="69" spans="1:7">
      <c r="A69" s="85"/>
      <c r="B69" s="86"/>
      <c r="C69" s="94" t="s">
        <v>19</v>
      </c>
      <c r="D69" s="86">
        <f>+D62*(D64-D63)</f>
        <v>20.9</v>
      </c>
      <c r="E69" s="86" t="s">
        <v>16</v>
      </c>
      <c r="F69" s="86"/>
      <c r="G69" s="87"/>
    </row>
    <row r="70" spans="1:7" ht="15.75" thickBot="1">
      <c r="A70" s="95"/>
      <c r="B70" s="96"/>
      <c r="C70" s="97" t="s">
        <v>19</v>
      </c>
      <c r="D70" s="98">
        <f>+A67/D69</f>
        <v>9.1433712121212132</v>
      </c>
      <c r="E70" s="96" t="s">
        <v>16</v>
      </c>
      <c r="F70" s="96"/>
      <c r="G70" s="99"/>
    </row>
  </sheetData>
  <mergeCells count="10">
    <mergeCell ref="I5:I6"/>
    <mergeCell ref="D5:D6"/>
    <mergeCell ref="C4:D4"/>
    <mergeCell ref="E5:E6"/>
    <mergeCell ref="F5:F6"/>
    <mergeCell ref="A4:A6"/>
    <mergeCell ref="B5:B6"/>
    <mergeCell ref="C5:C6"/>
    <mergeCell ref="G5:G6"/>
    <mergeCell ref="H5:H6"/>
  </mergeCells>
  <hyperlinks>
    <hyperlink ref="O4" r:id="rId1" display="http://www.engineeringtoolbox.com/dynamic-absolute-kinematic-viscosity-d_412.html"/>
    <hyperlink ref="P4" r:id="rId2" display="http://www.engineeringtoolbox.com/dynamic-absolute-kinematic-viscosity-d_412.html"/>
  </hyperlinks>
  <pageMargins left="0.70866141732283472" right="0.70866141732283472" top="0.74803149606299213" bottom="0.74803149606299213" header="0.31496062992125984" footer="0.31496062992125984"/>
  <pageSetup scale="64" fitToWidth="2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 Calcs - 1st HE</vt:lpstr>
      <vt:lpstr>Flow and Heat Calcs - Precip </vt:lpstr>
      <vt:lpstr>Sheet3</vt:lpstr>
    </vt:vector>
  </TitlesOfParts>
  <Company>MVPL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flormirza.cabalteja</dc:creator>
  <cp:lastModifiedBy>flormirza.cabalteja</cp:lastModifiedBy>
  <cp:lastPrinted>2013-11-21T00:14:13Z</cp:lastPrinted>
  <dcterms:created xsi:type="dcterms:W3CDTF">2013-11-15T02:38:20Z</dcterms:created>
  <dcterms:modified xsi:type="dcterms:W3CDTF">2013-12-02T22:56:25Z</dcterms:modified>
</cp:coreProperties>
</file>